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960" windowHeight="2625" firstSheet="2" activeTab="7"/>
  </bookViews>
  <sheets>
    <sheet name="GERDAU Roa" sheetId="1" r:id="rId1"/>
    <sheet name="Celco" sheetId="2" r:id="rId2"/>
    <sheet name="Omnisource" sheetId="3" r:id="rId3"/>
    <sheet name="Elite Recycling" sheetId="4" r:id="rId4"/>
    <sheet name="G&amp;B" sheetId="5" r:id="rId5"/>
    <sheet name="FCC Env" sheetId="6" r:id="rId6"/>
    <sheet name="Gerdau - Pulaski" sheetId="7" r:id="rId7"/>
    <sheet name="Progress Rail" sheetId="8" r:id="rId8"/>
  </sheets>
  <definedNames>
    <definedName name="_xlnm.Print_Area" localSheetId="5">'FCC Env'!$A$1:$M$12</definedName>
    <definedName name="_xlnm.Print_Area" localSheetId="4">'G&amp;B'!$A$1:$M$11</definedName>
    <definedName name="_xlnm.Print_Area" localSheetId="0">'GERDAU Roa'!$A$1:$J$32</definedName>
    <definedName name="_xlnm.Print_Area" localSheetId="2">Omnisource!$A$1:$M$30</definedName>
    <definedName name="_xlnm.Print_Area" localSheetId="7">'Progress Rail'!$A$1:$M$24</definedName>
  </definedNames>
  <calcPr calcId="125725"/>
</workbook>
</file>

<file path=xl/calcChain.xml><?xml version="1.0" encoding="utf-8"?>
<calcChain xmlns="http://schemas.openxmlformats.org/spreadsheetml/2006/main">
  <c r="F9" i="8"/>
  <c r="G9" s="1"/>
  <c r="F14"/>
  <c r="G14" s="1"/>
  <c r="D14"/>
  <c r="F13"/>
  <c r="G13" s="1"/>
  <c r="D13"/>
  <c r="F10"/>
  <c r="G10" s="1"/>
  <c r="D10"/>
  <c r="D9"/>
  <c r="M16" i="7"/>
  <c r="G14"/>
  <c r="F14"/>
  <c r="D14"/>
  <c r="G13"/>
  <c r="F13"/>
  <c r="D13"/>
  <c r="H13" s="1"/>
  <c r="I13" s="1"/>
  <c r="J13" s="1"/>
  <c r="L13" s="1"/>
  <c r="M13" s="1"/>
  <c r="G10"/>
  <c r="F10"/>
  <c r="D10"/>
  <c r="F9"/>
  <c r="G9" s="1"/>
  <c r="D9"/>
  <c r="J8" i="3"/>
  <c r="J7"/>
  <c r="J10" i="6"/>
  <c r="L10" s="1"/>
  <c r="M10" s="1"/>
  <c r="J9"/>
  <c r="J8" i="5"/>
  <c r="J7"/>
  <c r="D10" i="6"/>
  <c r="F10"/>
  <c r="G10" s="1"/>
  <c r="F9"/>
  <c r="G9" s="1"/>
  <c r="D9"/>
  <c r="F12" i="4"/>
  <c r="G12" s="1"/>
  <c r="D12"/>
  <c r="F8" i="5"/>
  <c r="G8" s="1"/>
  <c r="D8"/>
  <c r="F7"/>
  <c r="G7" s="1"/>
  <c r="D7"/>
  <c r="I18" i="3"/>
  <c r="I17"/>
  <c r="I13"/>
  <c r="I12"/>
  <c r="I8"/>
  <c r="H18"/>
  <c r="H17"/>
  <c r="H13"/>
  <c r="H12"/>
  <c r="H8"/>
  <c r="I7"/>
  <c r="H7"/>
  <c r="C10" i="4"/>
  <c r="F10" s="1"/>
  <c r="G8"/>
  <c r="F8"/>
  <c r="D8"/>
  <c r="H8" s="1"/>
  <c r="I8" s="1"/>
  <c r="J8" s="1"/>
  <c r="F14" i="3"/>
  <c r="C14"/>
  <c r="F13"/>
  <c r="G13" s="1"/>
  <c r="D13"/>
  <c r="J13" s="1"/>
  <c r="L13" s="1"/>
  <c r="M13" s="1"/>
  <c r="F12"/>
  <c r="G12" s="1"/>
  <c r="D12"/>
  <c r="C9"/>
  <c r="F9" s="1"/>
  <c r="E18"/>
  <c r="F18" s="1"/>
  <c r="G18" s="1"/>
  <c r="E17"/>
  <c r="F17" s="1"/>
  <c r="G17" s="1"/>
  <c r="D18"/>
  <c r="D17"/>
  <c r="F8"/>
  <c r="G8" s="1"/>
  <c r="D8"/>
  <c r="D7"/>
  <c r="F7"/>
  <c r="G7" s="1"/>
  <c r="F10" i="2"/>
  <c r="I10" s="1"/>
  <c r="J10" s="1"/>
  <c r="D8"/>
  <c r="D7"/>
  <c r="J12" i="1"/>
  <c r="I13"/>
  <c r="J13" s="1"/>
  <c r="I14"/>
  <c r="J14" s="1"/>
  <c r="I15"/>
  <c r="J15" s="1"/>
  <c r="I16"/>
  <c r="J16" s="1"/>
  <c r="I17"/>
  <c r="J17" s="1"/>
  <c r="I19"/>
  <c r="J19" s="1"/>
  <c r="I20"/>
  <c r="J20" s="1"/>
  <c r="I21"/>
  <c r="J21" s="1"/>
  <c r="I22"/>
  <c r="J22" s="1"/>
  <c r="I23"/>
  <c r="J23" s="1"/>
  <c r="I24"/>
  <c r="J24" s="1"/>
  <c r="I12"/>
  <c r="F21"/>
  <c r="F22"/>
  <c r="F23"/>
  <c r="F24"/>
  <c r="F19"/>
  <c r="F20"/>
  <c r="F13"/>
  <c r="F14"/>
  <c r="F15"/>
  <c r="F16"/>
  <c r="F17"/>
  <c r="F12"/>
  <c r="D10"/>
  <c r="D9"/>
  <c r="D8"/>
  <c r="D7"/>
  <c r="D6"/>
  <c r="D5"/>
  <c r="H13" i="8" l="1"/>
  <c r="I13" s="1"/>
  <c r="J13" s="1"/>
  <c r="L13" s="1"/>
  <c r="M13" s="1"/>
  <c r="H14"/>
  <c r="I14" s="1"/>
  <c r="J14" s="1"/>
  <c r="L14" s="1"/>
  <c r="M14" s="1"/>
  <c r="H10"/>
  <c r="I10" s="1"/>
  <c r="J10" s="1"/>
  <c r="L10" s="1"/>
  <c r="M10" s="1"/>
  <c r="H9"/>
  <c r="I9" s="1"/>
  <c r="J9" s="1"/>
  <c r="L9" s="1"/>
  <c r="M9" s="1"/>
  <c r="H14" i="7"/>
  <c r="I14" s="1"/>
  <c r="J14" s="1"/>
  <c r="L14" s="1"/>
  <c r="M14" s="1"/>
  <c r="H9"/>
  <c r="I9" s="1"/>
  <c r="J9" s="1"/>
  <c r="L9" s="1"/>
  <c r="M9" s="1"/>
  <c r="H10"/>
  <c r="I10" s="1"/>
  <c r="J10" s="1"/>
  <c r="L10" s="1"/>
  <c r="M10" s="1"/>
  <c r="H10" i="6"/>
  <c r="H9"/>
  <c r="H12" i="4"/>
  <c r="H8" i="5"/>
  <c r="I8" s="1"/>
  <c r="L8" s="1"/>
  <c r="M8" s="1"/>
  <c r="H7"/>
  <c r="J18" i="3"/>
  <c r="L18" s="1"/>
  <c r="M18" s="1"/>
  <c r="L8" i="4"/>
  <c r="M8" s="1"/>
  <c r="M10" s="1"/>
  <c r="L8" i="3"/>
  <c r="M8" s="1"/>
  <c r="I10" i="6" l="1"/>
  <c r="I9"/>
  <c r="L9"/>
  <c r="M9" s="1"/>
  <c r="M12" s="1"/>
  <c r="I12" i="4"/>
  <c r="J12" s="1"/>
  <c r="L12" s="1"/>
  <c r="M12" s="1"/>
  <c r="I7" i="5"/>
  <c r="L7"/>
  <c r="M7" s="1"/>
  <c r="M11" s="1"/>
  <c r="L7" i="3"/>
  <c r="M7" s="1"/>
  <c r="M9" s="1"/>
  <c r="J12"/>
  <c r="L12" s="1"/>
  <c r="M12" s="1"/>
  <c r="M14" s="1"/>
  <c r="J17"/>
  <c r="L17" s="1"/>
  <c r="M17" s="1"/>
  <c r="M19" s="1"/>
</calcChain>
</file>

<file path=xl/sharedStrings.xml><?xml version="1.0" encoding="utf-8"?>
<sst xmlns="http://schemas.openxmlformats.org/spreadsheetml/2006/main" count="232" uniqueCount="78">
  <si>
    <t>Chaparral Virginia Roanoke</t>
  </si>
  <si>
    <t>rainfall, in</t>
  </si>
  <si>
    <t>hrs</t>
  </si>
  <si>
    <t>runoff vol, Gal</t>
  </si>
  <si>
    <t>outfall</t>
  </si>
  <si>
    <t>001</t>
  </si>
  <si>
    <t>TSS, mg/L</t>
  </si>
  <si>
    <t>002</t>
  </si>
  <si>
    <t>004</t>
  </si>
  <si>
    <t>005</t>
  </si>
  <si>
    <t>006</t>
  </si>
  <si>
    <t>003</t>
  </si>
  <si>
    <t>site map does not sufficiently depict drainage areas</t>
  </si>
  <si>
    <t>PCB pg/L</t>
  </si>
  <si>
    <t>runoff vol, Liters</t>
  </si>
  <si>
    <t>PCB pg/event</t>
  </si>
  <si>
    <t>PCB grams/ event</t>
  </si>
  <si>
    <t>former Cycle Systems - Roanoke</t>
  </si>
  <si>
    <t>VAR050717</t>
  </si>
  <si>
    <t>Calculation of PCBt discharged using DMR data and PCB Data</t>
  </si>
  <si>
    <t>Celanese</t>
  </si>
  <si>
    <t>PCB data</t>
  </si>
  <si>
    <t>009</t>
  </si>
  <si>
    <t>2nd sample</t>
  </si>
  <si>
    <t>outfall 001 acreage =</t>
  </si>
  <si>
    <t>outfall 009 acreage =</t>
  </si>
  <si>
    <t xml:space="preserve">total </t>
  </si>
  <si>
    <t>impervious</t>
  </si>
  <si>
    <t>OmniSource SE - Montvale</t>
  </si>
  <si>
    <t>VAR050214</t>
  </si>
  <si>
    <t>Goose Creek WLA</t>
  </si>
  <si>
    <t>P = annual rainfall (in/yr)</t>
  </si>
  <si>
    <t xml:space="preserve">where: </t>
  </si>
  <si>
    <t>Pj = fraction of annual events that produce runoff (usually 0.9)</t>
  </si>
  <si>
    <t xml:space="preserve">Rv = runoff coefficient, which can be expressed as: </t>
  </si>
  <si>
    <t>Rv = 0.05 + (0.9 x Ia)</t>
  </si>
  <si>
    <t>per GM the Virginia annual average rainfall of 44.3 inches/year</t>
  </si>
  <si>
    <t>Ia</t>
  </si>
  <si>
    <t xml:space="preserve">The R here should be annual runoff, calculated as: </t>
  </si>
  <si>
    <t>R = P x Pj x Rv</t>
  </si>
  <si>
    <t>Rv</t>
  </si>
  <si>
    <t>inches/year</t>
  </si>
  <si>
    <t>R, in/yr</t>
  </si>
  <si>
    <t>A, acres</t>
  </si>
  <si>
    <t>A, sq.ft.</t>
  </si>
  <si>
    <t>PCB pg/year</t>
  </si>
  <si>
    <t>PCB mg/ year</t>
  </si>
  <si>
    <t>mg/year</t>
  </si>
  <si>
    <t>R, cu.ft./yr</t>
  </si>
  <si>
    <t>R, Gal/yr</t>
  </si>
  <si>
    <t>same data with a lower impervious number, from entire site, 4.6 of 24.94 reported in registration as impervious:</t>
  </si>
  <si>
    <t>90% of this is =</t>
  </si>
  <si>
    <t>R, Liters/yr</t>
  </si>
  <si>
    <t>assume 90% impervious in outfalls 001 and 002:</t>
  </si>
  <si>
    <t>assume 50% impervious in outfalls 001 and 002:</t>
  </si>
  <si>
    <t>Calculation of tPCB discharged using runoff assumptions and PCB Data</t>
  </si>
  <si>
    <t>50% of this is =</t>
  </si>
  <si>
    <t>contribution from outfalls 001 and 002 =</t>
  </si>
  <si>
    <t>Ia = the impervious fraction (the ratio of impervious area to the total area)</t>
  </si>
  <si>
    <t>Ia for entire site is not accurate, since there is wooded unused area at the facility.  Outfalls 001 and 002 are almost all impervious area, est 90%.</t>
  </si>
  <si>
    <t>Elite Recycling VAR052045</t>
  </si>
  <si>
    <t>90% of A is =</t>
  </si>
  <si>
    <t>composite</t>
  </si>
  <si>
    <t>contribution from outfalls  =</t>
  </si>
  <si>
    <t>G &amp; B auto Parts</t>
  </si>
  <si>
    <t>average of 2 points =</t>
  </si>
  <si>
    <t>VAR052012</t>
  </si>
  <si>
    <t>New River</t>
  </si>
  <si>
    <t>UNADJUSTED DATA</t>
  </si>
  <si>
    <t>VAW-L20R</t>
  </si>
  <si>
    <t>11275 Lynchburg Salem Tpke (Rt. 460)</t>
  </si>
  <si>
    <t>Montvale</t>
  </si>
  <si>
    <t>FCC Environmental VAR050456</t>
  </si>
  <si>
    <t>ave =</t>
  </si>
  <si>
    <t>Gerdau - Pulaski VAR050202</t>
  </si>
  <si>
    <t>306 first Street, Pulaski VA</t>
  </si>
  <si>
    <t>Progress Rail - Roanoke VAR050522</t>
  </si>
  <si>
    <t>If 50% imprvious assumed: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</si>
</sst>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000E+00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0" xfId="0" applyFont="1" applyFill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4" fontId="5" fillId="0" borderId="1" xfId="2" applyNumberFormat="1" applyFont="1" applyFill="1" applyBorder="1" applyAlignment="1">
      <alignment horizontal="right" wrapText="1"/>
    </xf>
    <xf numFmtId="0" fontId="1" fillId="0" borderId="0" xfId="0" applyFont="1" applyFill="1"/>
    <xf numFmtId="0" fontId="5" fillId="0" borderId="1" xfId="2" applyFont="1" applyFill="1" applyBorder="1" applyAlignment="1"/>
    <xf numFmtId="0" fontId="6" fillId="0" borderId="0" xfId="0" applyFont="1"/>
    <xf numFmtId="0" fontId="5" fillId="0" borderId="0" xfId="2" applyFont="1" applyFill="1" applyBorder="1" applyAlignment="1"/>
    <xf numFmtId="41" fontId="0" fillId="0" borderId="0" xfId="1" applyNumberFormat="1" applyFont="1"/>
    <xf numFmtId="4" fontId="5" fillId="0" borderId="0" xfId="2" applyNumberFormat="1" applyFont="1" applyFill="1" applyBorder="1" applyAlignment="1">
      <alignment horizontal="right" wrapText="1"/>
    </xf>
    <xf numFmtId="0" fontId="7" fillId="0" borderId="0" xfId="0" applyFont="1"/>
    <xf numFmtId="4" fontId="5" fillId="0" borderId="0" xfId="2" applyNumberFormat="1" applyFont="1" applyFill="1" applyBorder="1" applyAlignment="1">
      <alignment horizontal="right"/>
    </xf>
    <xf numFmtId="0" fontId="0" fillId="2" borderId="0" xfId="0" applyFill="1"/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1" fontId="0" fillId="0" borderId="0" xfId="1" applyNumberFormat="1" applyFont="1" applyAlignment="1">
      <alignment horizontal="center"/>
    </xf>
    <xf numFmtId="165" fontId="0" fillId="0" borderId="0" xfId="0" applyNumberFormat="1"/>
    <xf numFmtId="3" fontId="5" fillId="0" borderId="1" xfId="2" applyNumberFormat="1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Fill="1"/>
    <xf numFmtId="49" fontId="0" fillId="0" borderId="0" xfId="0" applyNumberForma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3" fontId="5" fillId="0" borderId="2" xfId="2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93536</xdr:rowOff>
    </xdr:from>
    <xdr:to>
      <xdr:col>5</xdr:col>
      <xdr:colOff>542925</xdr:colOff>
      <xdr:row>22</xdr:row>
      <xdr:rowOff>161926</xdr:rowOff>
    </xdr:to>
    <xdr:pic>
      <xdr:nvPicPr>
        <xdr:cNvPr id="1025" name="Picture 1" descr="cid:image003.png@01CFAFCE.893F14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79536"/>
          <a:ext cx="3638550" cy="178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>
      <selection activeCell="A20" sqref="A20"/>
    </sheetView>
  </sheetViews>
  <sheetFormatPr defaultRowHeight="15"/>
  <cols>
    <col min="1" max="1" width="10.7109375" bestFit="1" customWidth="1"/>
    <col min="2" max="2" width="9.7109375" style="4" customWidth="1"/>
    <col min="3" max="3" width="10" bestFit="1" customWidth="1"/>
    <col min="9" max="9" width="12" bestFit="1" customWidth="1"/>
    <col min="10" max="10" width="12.7109375" bestFit="1" customWidth="1"/>
  </cols>
  <sheetData>
    <row r="1" spans="1:10" ht="18.75">
      <c r="A1" s="9" t="s">
        <v>0</v>
      </c>
      <c r="D1" t="s">
        <v>17</v>
      </c>
      <c r="H1" t="s">
        <v>18</v>
      </c>
    </row>
    <row r="2" spans="1:10" ht="18.75">
      <c r="A2" s="9" t="s">
        <v>19</v>
      </c>
    </row>
    <row r="3" spans="1:10" ht="45">
      <c r="B3" s="4" t="s">
        <v>4</v>
      </c>
      <c r="C3" t="s">
        <v>1</v>
      </c>
      <c r="D3" t="s">
        <v>2</v>
      </c>
      <c r="E3" s="2" t="s">
        <v>3</v>
      </c>
      <c r="F3" s="2" t="s">
        <v>14</v>
      </c>
      <c r="G3" t="s">
        <v>6</v>
      </c>
      <c r="H3" t="s">
        <v>13</v>
      </c>
      <c r="I3" s="7" t="s">
        <v>15</v>
      </c>
      <c r="J3" s="7" t="s">
        <v>16</v>
      </c>
    </row>
    <row r="4" spans="1:10">
      <c r="A4" s="6" t="s">
        <v>12</v>
      </c>
      <c r="E4" s="2"/>
      <c r="F4" s="2"/>
    </row>
    <row r="5" spans="1:10">
      <c r="A5" s="1">
        <v>40344</v>
      </c>
      <c r="B5" s="5" t="s">
        <v>5</v>
      </c>
      <c r="C5">
        <v>0.5</v>
      </c>
      <c r="D5">
        <f>51/60</f>
        <v>0.85</v>
      </c>
      <c r="G5" s="3">
        <v>6.7</v>
      </c>
    </row>
    <row r="6" spans="1:10">
      <c r="A6" s="1">
        <v>40344</v>
      </c>
      <c r="B6" s="5" t="s">
        <v>7</v>
      </c>
      <c r="C6">
        <v>0.5</v>
      </c>
      <c r="D6">
        <f t="shared" ref="D6:D10" si="0">51/60</f>
        <v>0.85</v>
      </c>
      <c r="G6" s="3">
        <v>65.7</v>
      </c>
    </row>
    <row r="7" spans="1:10">
      <c r="A7" s="1">
        <v>40344</v>
      </c>
      <c r="B7" s="5" t="s">
        <v>11</v>
      </c>
      <c r="C7">
        <v>0.5</v>
      </c>
      <c r="D7">
        <f t="shared" si="0"/>
        <v>0.85</v>
      </c>
      <c r="G7" s="3">
        <v>461</v>
      </c>
    </row>
    <row r="8" spans="1:10">
      <c r="A8" s="1">
        <v>40344</v>
      </c>
      <c r="B8" s="5" t="s">
        <v>8</v>
      </c>
      <c r="C8">
        <v>0.5</v>
      </c>
      <c r="D8">
        <f t="shared" si="0"/>
        <v>0.85</v>
      </c>
      <c r="G8" s="3">
        <v>59.2</v>
      </c>
    </row>
    <row r="9" spans="1:10">
      <c r="A9" s="1">
        <v>40344</v>
      </c>
      <c r="B9" s="5" t="s">
        <v>9</v>
      </c>
      <c r="C9">
        <v>0.5</v>
      </c>
      <c r="D9">
        <f t="shared" si="0"/>
        <v>0.85</v>
      </c>
      <c r="G9" s="3">
        <v>4205</v>
      </c>
    </row>
    <row r="10" spans="1:10">
      <c r="A10" s="1">
        <v>40344</v>
      </c>
      <c r="B10" s="5" t="s">
        <v>10</v>
      </c>
      <c r="C10">
        <v>0.5</v>
      </c>
      <c r="D10">
        <f t="shared" si="0"/>
        <v>0.85</v>
      </c>
      <c r="G10" s="3">
        <v>25.7</v>
      </c>
    </row>
    <row r="11" spans="1:10">
      <c r="E11" s="2"/>
      <c r="F11" s="2"/>
    </row>
    <row r="12" spans="1:10">
      <c r="A12" s="1">
        <v>40598</v>
      </c>
      <c r="B12" s="5" t="s">
        <v>5</v>
      </c>
      <c r="C12">
        <v>1</v>
      </c>
      <c r="D12">
        <v>12</v>
      </c>
      <c r="E12">
        <v>35300</v>
      </c>
      <c r="F12">
        <f>E12*3.785</f>
        <v>133610.5</v>
      </c>
      <c r="G12">
        <v>10.1</v>
      </c>
      <c r="H12">
        <v>111206</v>
      </c>
      <c r="I12" s="8">
        <f>H12*F12</f>
        <v>14858289263</v>
      </c>
      <c r="J12">
        <f>I12*(10^-12)</f>
        <v>1.4858289263E-2</v>
      </c>
    </row>
    <row r="13" spans="1:10">
      <c r="A13" s="1">
        <v>40598</v>
      </c>
      <c r="B13" s="5" t="s">
        <v>7</v>
      </c>
      <c r="C13">
        <v>1</v>
      </c>
      <c r="D13">
        <v>12</v>
      </c>
      <c r="E13">
        <v>16000</v>
      </c>
      <c r="F13">
        <f t="shared" ref="F13:F24" si="1">E13*3.785</f>
        <v>60560</v>
      </c>
      <c r="G13" s="3">
        <v>173.6</v>
      </c>
      <c r="H13">
        <v>7477679</v>
      </c>
      <c r="I13" s="8">
        <f t="shared" ref="I13:I24" si="2">H13*F13</f>
        <v>452848240240</v>
      </c>
      <c r="J13">
        <f t="shared" ref="J13:J24" si="3">I13*(10^-12)</f>
        <v>0.45284824023999998</v>
      </c>
    </row>
    <row r="14" spans="1:10">
      <c r="A14" s="1">
        <v>40598</v>
      </c>
      <c r="B14" s="5" t="s">
        <v>11</v>
      </c>
      <c r="C14">
        <v>1</v>
      </c>
      <c r="D14">
        <v>12</v>
      </c>
      <c r="E14">
        <v>5300</v>
      </c>
      <c r="F14">
        <f t="shared" si="1"/>
        <v>20060.5</v>
      </c>
      <c r="G14">
        <v>73.900000000000006</v>
      </c>
      <c r="H14">
        <v>420754</v>
      </c>
      <c r="I14" s="8">
        <f t="shared" si="2"/>
        <v>8440535617</v>
      </c>
      <c r="J14">
        <f t="shared" si="3"/>
        <v>8.4405356170000004E-3</v>
      </c>
    </row>
    <row r="15" spans="1:10">
      <c r="A15" s="1">
        <v>40598</v>
      </c>
      <c r="B15" s="5" t="s">
        <v>8</v>
      </c>
      <c r="C15">
        <v>1</v>
      </c>
      <c r="D15">
        <v>12</v>
      </c>
      <c r="E15">
        <v>61000</v>
      </c>
      <c r="F15">
        <f t="shared" si="1"/>
        <v>230885</v>
      </c>
      <c r="G15" s="3">
        <v>252</v>
      </c>
      <c r="H15">
        <v>1356154</v>
      </c>
      <c r="I15" s="8">
        <f t="shared" si="2"/>
        <v>313115616290</v>
      </c>
      <c r="J15">
        <f t="shared" si="3"/>
        <v>0.31311561629000001</v>
      </c>
    </row>
    <row r="16" spans="1:10">
      <c r="A16" s="1">
        <v>40598</v>
      </c>
      <c r="B16" s="5" t="s">
        <v>9</v>
      </c>
      <c r="C16">
        <v>1</v>
      </c>
      <c r="D16">
        <v>12</v>
      </c>
      <c r="E16">
        <v>12000</v>
      </c>
      <c r="F16">
        <f t="shared" si="1"/>
        <v>45420</v>
      </c>
      <c r="G16" s="3">
        <v>887</v>
      </c>
      <c r="H16">
        <v>1371004</v>
      </c>
      <c r="I16" s="8">
        <f t="shared" si="2"/>
        <v>62271001680</v>
      </c>
      <c r="J16">
        <f t="shared" si="3"/>
        <v>6.227100168E-2</v>
      </c>
    </row>
    <row r="17" spans="1:10">
      <c r="A17" s="1">
        <v>40598</v>
      </c>
      <c r="B17" s="5" t="s">
        <v>10</v>
      </c>
      <c r="C17">
        <v>1</v>
      </c>
      <c r="D17">
        <v>12</v>
      </c>
      <c r="E17">
        <v>12000</v>
      </c>
      <c r="F17">
        <f t="shared" si="1"/>
        <v>45420</v>
      </c>
      <c r="G17" s="3">
        <v>110.1</v>
      </c>
      <c r="H17">
        <v>2273442</v>
      </c>
      <c r="I17" s="8">
        <f t="shared" si="2"/>
        <v>103259735640</v>
      </c>
      <c r="J17">
        <f t="shared" si="3"/>
        <v>0.10325973564</v>
      </c>
    </row>
    <row r="18" spans="1:10">
      <c r="B18" s="5"/>
      <c r="I18" s="8"/>
    </row>
    <row r="19" spans="1:10">
      <c r="A19" s="1">
        <v>40863</v>
      </c>
      <c r="B19" s="5" t="s">
        <v>5</v>
      </c>
      <c r="C19">
        <v>0.69</v>
      </c>
      <c r="D19">
        <v>12</v>
      </c>
      <c r="E19">
        <v>24357</v>
      </c>
      <c r="F19">
        <f t="shared" si="1"/>
        <v>92191.24500000001</v>
      </c>
      <c r="G19">
        <v>33.1</v>
      </c>
      <c r="H19">
        <v>111206</v>
      </c>
      <c r="I19" s="8">
        <f t="shared" si="2"/>
        <v>10252219591.470001</v>
      </c>
      <c r="J19">
        <f t="shared" si="3"/>
        <v>1.0252219591470001E-2</v>
      </c>
    </row>
    <row r="20" spans="1:10">
      <c r="A20" s="1">
        <v>40863</v>
      </c>
      <c r="B20" s="5" t="s">
        <v>7</v>
      </c>
      <c r="C20">
        <v>0.69</v>
      </c>
      <c r="D20">
        <v>12</v>
      </c>
      <c r="E20">
        <v>11040</v>
      </c>
      <c r="F20">
        <f t="shared" si="1"/>
        <v>41786.400000000001</v>
      </c>
      <c r="G20" s="3">
        <v>391.4</v>
      </c>
      <c r="H20">
        <v>7477679</v>
      </c>
      <c r="I20" s="8">
        <f t="shared" si="2"/>
        <v>312465285765.60004</v>
      </c>
      <c r="J20">
        <f t="shared" si="3"/>
        <v>0.31246528576560001</v>
      </c>
    </row>
    <row r="21" spans="1:10">
      <c r="A21" s="1">
        <v>40863</v>
      </c>
      <c r="B21" s="5" t="s">
        <v>11</v>
      </c>
      <c r="C21">
        <v>0.69</v>
      </c>
      <c r="D21">
        <v>12</v>
      </c>
      <c r="E21">
        <v>3657</v>
      </c>
      <c r="F21">
        <f t="shared" si="1"/>
        <v>13841.745000000001</v>
      </c>
      <c r="G21" s="3">
        <v>430.3</v>
      </c>
      <c r="H21">
        <v>420754</v>
      </c>
      <c r="I21" s="8">
        <f t="shared" si="2"/>
        <v>5823969575.7300005</v>
      </c>
      <c r="J21">
        <f t="shared" si="3"/>
        <v>5.8239695757300002E-3</v>
      </c>
    </row>
    <row r="22" spans="1:10">
      <c r="A22" s="1">
        <v>40863</v>
      </c>
      <c r="B22" s="5" t="s">
        <v>8</v>
      </c>
      <c r="C22">
        <v>0.69</v>
      </c>
      <c r="D22">
        <v>12</v>
      </c>
      <c r="E22">
        <v>4290</v>
      </c>
      <c r="F22">
        <f t="shared" si="1"/>
        <v>16237.650000000001</v>
      </c>
      <c r="G22" s="3">
        <v>345.2</v>
      </c>
      <c r="H22">
        <v>1356154</v>
      </c>
      <c r="I22" s="8">
        <f t="shared" si="2"/>
        <v>22020753998.100002</v>
      </c>
      <c r="J22">
        <f t="shared" si="3"/>
        <v>2.2020753998100003E-2</v>
      </c>
    </row>
    <row r="23" spans="1:10">
      <c r="A23" s="1">
        <v>40863</v>
      </c>
      <c r="B23" s="5" t="s">
        <v>9</v>
      </c>
      <c r="C23">
        <v>0.69</v>
      </c>
      <c r="D23">
        <v>12</v>
      </c>
      <c r="E23">
        <v>8280</v>
      </c>
      <c r="F23">
        <f t="shared" si="1"/>
        <v>31339.800000000003</v>
      </c>
      <c r="G23" s="3">
        <v>3794.4</v>
      </c>
      <c r="H23">
        <v>1371004</v>
      </c>
      <c r="I23" s="8">
        <f t="shared" si="2"/>
        <v>42966991159.200005</v>
      </c>
      <c r="J23">
        <f t="shared" si="3"/>
        <v>4.2966991159200003E-2</v>
      </c>
    </row>
    <row r="24" spans="1:10">
      <c r="A24" s="1">
        <v>40863</v>
      </c>
      <c r="B24" s="5" t="s">
        <v>10</v>
      </c>
      <c r="C24">
        <v>0.69</v>
      </c>
      <c r="D24">
        <v>12</v>
      </c>
      <c r="E24">
        <v>3657</v>
      </c>
      <c r="F24">
        <f t="shared" si="1"/>
        <v>13841.745000000001</v>
      </c>
      <c r="G24" s="3">
        <v>300.5</v>
      </c>
      <c r="H24">
        <v>2273442</v>
      </c>
      <c r="I24" s="8">
        <f t="shared" si="2"/>
        <v>31468404436.290001</v>
      </c>
      <c r="J24">
        <f t="shared" si="3"/>
        <v>3.1468404436290003E-2</v>
      </c>
    </row>
    <row r="25" spans="1:10">
      <c r="B25" s="5"/>
    </row>
    <row r="26" spans="1:10">
      <c r="A26" s="1">
        <v>41263</v>
      </c>
      <c r="B26" s="5" t="s">
        <v>5</v>
      </c>
      <c r="C26">
        <v>0.49</v>
      </c>
      <c r="D26">
        <v>1.5</v>
      </c>
      <c r="G26" s="3">
        <v>5.7</v>
      </c>
    </row>
    <row r="27" spans="1:10">
      <c r="A27" s="1">
        <v>41263</v>
      </c>
      <c r="B27" s="5" t="s">
        <v>7</v>
      </c>
      <c r="C27">
        <v>0.49</v>
      </c>
      <c r="D27">
        <v>1.5</v>
      </c>
      <c r="G27" s="3">
        <v>9.3000000000000007</v>
      </c>
    </row>
    <row r="28" spans="1:10">
      <c r="A28" s="1">
        <v>41263</v>
      </c>
      <c r="B28" s="5" t="s">
        <v>11</v>
      </c>
      <c r="C28">
        <v>0.49</v>
      </c>
      <c r="D28">
        <v>1.5</v>
      </c>
      <c r="G28" s="3">
        <v>542</v>
      </c>
    </row>
    <row r="29" spans="1:10">
      <c r="A29" s="1">
        <v>41263</v>
      </c>
      <c r="B29" s="5" t="s">
        <v>8</v>
      </c>
      <c r="C29">
        <v>0.49</v>
      </c>
      <c r="D29">
        <v>1.5</v>
      </c>
      <c r="G29" s="3">
        <v>1469</v>
      </c>
    </row>
    <row r="30" spans="1:10">
      <c r="A30" s="1">
        <v>41263</v>
      </c>
      <c r="B30" s="5" t="s">
        <v>9</v>
      </c>
      <c r="C30">
        <v>0.49</v>
      </c>
      <c r="D30">
        <v>1.5</v>
      </c>
      <c r="G30" s="3">
        <v>51.7</v>
      </c>
    </row>
    <row r="31" spans="1:10">
      <c r="A31" s="1">
        <v>41263</v>
      </c>
      <c r="B31" s="5" t="s">
        <v>10</v>
      </c>
      <c r="C31">
        <v>0.49</v>
      </c>
      <c r="D31">
        <v>1.5</v>
      </c>
      <c r="G31" s="3">
        <v>420</v>
      </c>
    </row>
  </sheetData>
  <pageMargins left="0.7" right="0.7" top="0.75" bottom="0.75" header="0.3" footer="0.3"/>
  <pageSetup orientation="landscape" r:id="rId1"/>
  <ignoredErrors>
    <ignoredError sqref="B5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/>
  </sheetViews>
  <sheetFormatPr defaultRowHeight="15"/>
  <cols>
    <col min="1" max="1" width="15.42578125" customWidth="1"/>
    <col min="2" max="2" width="13.140625" customWidth="1"/>
    <col min="3" max="3" width="9.140625" customWidth="1"/>
    <col min="9" max="9" width="10.5703125" bestFit="1" customWidth="1"/>
  </cols>
  <sheetData>
    <row r="1" spans="1:10">
      <c r="A1" t="s">
        <v>20</v>
      </c>
      <c r="B1" t="s">
        <v>21</v>
      </c>
    </row>
    <row r="2" spans="1:10">
      <c r="D2" t="s">
        <v>26</v>
      </c>
      <c r="E2" t="s">
        <v>27</v>
      </c>
    </row>
    <row r="3" spans="1:10">
      <c r="B3" t="s">
        <v>24</v>
      </c>
      <c r="D3">
        <v>69</v>
      </c>
      <c r="E3">
        <v>64</v>
      </c>
    </row>
    <row r="4" spans="1:10">
      <c r="B4" t="s">
        <v>25</v>
      </c>
      <c r="D4">
        <v>50</v>
      </c>
    </row>
    <row r="5" spans="1:10" ht="45">
      <c r="B5" s="4" t="s">
        <v>4</v>
      </c>
      <c r="D5" t="s">
        <v>2</v>
      </c>
      <c r="E5" s="2" t="s">
        <v>3</v>
      </c>
      <c r="F5" s="2" t="s">
        <v>14</v>
      </c>
      <c r="G5" t="s">
        <v>6</v>
      </c>
      <c r="H5" t="s">
        <v>13</v>
      </c>
      <c r="I5" s="7" t="s">
        <v>15</v>
      </c>
      <c r="J5" s="7" t="s">
        <v>16</v>
      </c>
    </row>
    <row r="6" spans="1:10">
      <c r="A6" s="6"/>
      <c r="B6" s="4"/>
      <c r="C6" t="s">
        <v>1</v>
      </c>
      <c r="E6" s="2"/>
      <c r="F6" s="2"/>
    </row>
    <row r="7" spans="1:10">
      <c r="A7" s="1">
        <v>41518</v>
      </c>
      <c r="B7" s="5" t="s">
        <v>5</v>
      </c>
      <c r="C7">
        <v>0.5</v>
      </c>
      <c r="D7">
        <f>51/60</f>
        <v>0.85</v>
      </c>
      <c r="G7" s="3"/>
      <c r="H7">
        <v>20205</v>
      </c>
    </row>
    <row r="8" spans="1:10">
      <c r="A8" s="1">
        <v>41519</v>
      </c>
      <c r="B8" s="5" t="s">
        <v>22</v>
      </c>
      <c r="C8">
        <v>0.5</v>
      </c>
      <c r="D8">
        <f t="shared" ref="D8" si="0">51/60</f>
        <v>0.85</v>
      </c>
      <c r="G8" s="3"/>
      <c r="H8">
        <v>715273</v>
      </c>
    </row>
    <row r="9" spans="1:10">
      <c r="B9" s="4"/>
      <c r="E9" s="2"/>
      <c r="F9" s="2"/>
    </row>
    <row r="10" spans="1:10">
      <c r="A10" s="1" t="s">
        <v>23</v>
      </c>
      <c r="B10" s="5" t="s">
        <v>5</v>
      </c>
      <c r="D10">
        <v>12</v>
      </c>
      <c r="F10">
        <f>E10*3.785</f>
        <v>0</v>
      </c>
      <c r="I10" s="8">
        <f>H10*F10</f>
        <v>0</v>
      </c>
      <c r="J10">
        <f>I10*(10^-12)</f>
        <v>0</v>
      </c>
    </row>
    <row r="11" spans="1:10">
      <c r="C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F1" sqref="F1"/>
    </sheetView>
  </sheetViews>
  <sheetFormatPr defaultRowHeight="15"/>
  <cols>
    <col min="1" max="1" width="9.7109375" bestFit="1" customWidth="1"/>
    <col min="8" max="8" width="13.28515625" bestFit="1" customWidth="1"/>
    <col min="9" max="9" width="11.5703125" bestFit="1" customWidth="1"/>
    <col min="10" max="10" width="13.28515625" bestFit="1" customWidth="1"/>
    <col min="11" max="11" width="11.85546875" customWidth="1"/>
    <col min="12" max="12" width="10.5703125" bestFit="1" customWidth="1"/>
  </cols>
  <sheetData>
    <row r="1" spans="1:13" ht="18.75">
      <c r="A1" s="9" t="s">
        <v>28</v>
      </c>
      <c r="E1" s="12" t="s">
        <v>29</v>
      </c>
      <c r="F1" s="14"/>
      <c r="G1" s="14"/>
      <c r="H1" s="14"/>
    </row>
    <row r="2" spans="1:13" ht="18.75">
      <c r="A2" s="9" t="s">
        <v>55</v>
      </c>
      <c r="B2" s="4"/>
    </row>
    <row r="3" spans="1:13">
      <c r="A3" t="s">
        <v>30</v>
      </c>
      <c r="B3" s="4"/>
      <c r="C3">
        <v>1907.9</v>
      </c>
      <c r="D3" t="s">
        <v>47</v>
      </c>
    </row>
    <row r="4" spans="1:13" ht="30">
      <c r="B4" s="4" t="s">
        <v>4</v>
      </c>
      <c r="C4" t="s">
        <v>43</v>
      </c>
      <c r="D4" t="s">
        <v>44</v>
      </c>
      <c r="E4" t="s">
        <v>37</v>
      </c>
      <c r="F4" t="s">
        <v>40</v>
      </c>
      <c r="G4" t="s">
        <v>42</v>
      </c>
      <c r="H4" t="s">
        <v>48</v>
      </c>
      <c r="I4" s="2" t="s">
        <v>49</v>
      </c>
      <c r="J4" s="2" t="s">
        <v>52</v>
      </c>
      <c r="K4" t="s">
        <v>13</v>
      </c>
      <c r="L4" s="7" t="s">
        <v>45</v>
      </c>
      <c r="M4" s="7" t="s">
        <v>46</v>
      </c>
    </row>
    <row r="5" spans="1:13">
      <c r="A5" s="11"/>
      <c r="B5" s="4"/>
      <c r="I5" s="2"/>
      <c r="J5" s="2"/>
    </row>
    <row r="6" spans="1:13">
      <c r="A6" t="s">
        <v>53</v>
      </c>
      <c r="B6" s="4"/>
      <c r="I6" s="2"/>
      <c r="J6" s="2"/>
    </row>
    <row r="7" spans="1:13">
      <c r="A7" s="1">
        <v>40883</v>
      </c>
      <c r="B7" s="5" t="s">
        <v>5</v>
      </c>
      <c r="C7">
        <v>2.1800000000000002</v>
      </c>
      <c r="D7">
        <f>43560*C7</f>
        <v>94960.8</v>
      </c>
      <c r="E7">
        <v>0.9</v>
      </c>
      <c r="F7">
        <f>(E7*0.9)+0.05</f>
        <v>0.8600000000000001</v>
      </c>
      <c r="G7">
        <f>44.3*0.9*F7</f>
        <v>34.288200000000003</v>
      </c>
      <c r="H7" s="15">
        <f>D7*G7/12</f>
        <v>271336.24188000005</v>
      </c>
      <c r="I7" s="15">
        <f>H7*7.4805</f>
        <v>2029730.7573833403</v>
      </c>
      <c r="J7" s="23">
        <f>I7*3.785</f>
        <v>7682530.9166959431</v>
      </c>
      <c r="K7" s="10">
        <v>135302.30999469757</v>
      </c>
      <c r="L7" s="8">
        <f>K7*J7</f>
        <v>1039464179634.6426</v>
      </c>
      <c r="M7">
        <f>L7*(10^-9)</f>
        <v>1039.4641796346427</v>
      </c>
    </row>
    <row r="8" spans="1:13">
      <c r="A8" s="1">
        <v>40883</v>
      </c>
      <c r="B8" s="5" t="s">
        <v>7</v>
      </c>
      <c r="C8">
        <v>3.51</v>
      </c>
      <c r="D8">
        <f>43560*C8</f>
        <v>152895.59999999998</v>
      </c>
      <c r="E8">
        <v>0.9</v>
      </c>
      <c r="F8">
        <f>(E8*0.9)+0.05</f>
        <v>0.8600000000000001</v>
      </c>
      <c r="G8">
        <f>44.3*0.9*F8</f>
        <v>34.288200000000003</v>
      </c>
      <c r="H8" s="15">
        <f>D8*G8/12</f>
        <v>436876.24265999999</v>
      </c>
      <c r="I8" s="15">
        <f>H8*7.4805</f>
        <v>3268052.7332181302</v>
      </c>
      <c r="J8" s="23">
        <f>I8*3.785</f>
        <v>12369579.595230624</v>
      </c>
      <c r="K8" s="10">
        <v>150186.74999976158</v>
      </c>
      <c r="L8" s="8">
        <f>K8*J8</f>
        <v>1857746958271.0537</v>
      </c>
      <c r="M8">
        <f>L8*(10^-9)</f>
        <v>1857.7469582710539</v>
      </c>
    </row>
    <row r="9" spans="1:13">
      <c r="A9" s="1"/>
      <c r="B9" s="5"/>
      <c r="C9">
        <f>SUM(C7:C8)</f>
        <v>5.6899999999999995</v>
      </c>
      <c r="D9" t="s">
        <v>51</v>
      </c>
      <c r="F9">
        <f>0.9*C9</f>
        <v>5.1209999999999996</v>
      </c>
      <c r="H9" s="15"/>
      <c r="I9" t="s">
        <v>57</v>
      </c>
      <c r="K9" s="16"/>
      <c r="L9" s="8"/>
      <c r="M9">
        <f>SUM(M7:M8)</f>
        <v>2897.2111379056969</v>
      </c>
    </row>
    <row r="10" spans="1:13">
      <c r="A10" s="1"/>
      <c r="B10" s="5"/>
      <c r="H10" s="15"/>
      <c r="K10" s="16"/>
      <c r="L10" s="8"/>
    </row>
    <row r="11" spans="1:13">
      <c r="A11" t="s">
        <v>54</v>
      </c>
      <c r="B11" s="4"/>
      <c r="I11" s="2"/>
      <c r="J11" s="2"/>
    </row>
    <row r="12" spans="1:13">
      <c r="A12" s="1">
        <v>40883</v>
      </c>
      <c r="B12" s="5" t="s">
        <v>5</v>
      </c>
      <c r="C12">
        <v>2.1800000000000002</v>
      </c>
      <c r="D12">
        <f>43560*C12</f>
        <v>94960.8</v>
      </c>
      <c r="E12">
        <v>0.5</v>
      </c>
      <c r="F12">
        <f>(E12*0.9)+0.05</f>
        <v>0.5</v>
      </c>
      <c r="G12">
        <f>44.3*0.9*F12</f>
        <v>19.934999999999999</v>
      </c>
      <c r="H12" s="15">
        <f>D12*G12/12</f>
        <v>157753.62899999999</v>
      </c>
      <c r="I12" s="15">
        <f>H12*7.4805</f>
        <v>1180076.0217344998</v>
      </c>
      <c r="J12">
        <f>H12*3.785</f>
        <v>597097.48576499999</v>
      </c>
      <c r="K12" s="10">
        <v>135302.30999469757</v>
      </c>
      <c r="L12" s="8">
        <f>K12*J12</f>
        <v>80788669116.030548</v>
      </c>
      <c r="M12">
        <f>L12*(10^-9)</f>
        <v>80.788669116030547</v>
      </c>
    </row>
    <row r="13" spans="1:13">
      <c r="A13" s="1">
        <v>40883</v>
      </c>
      <c r="B13" s="5" t="s">
        <v>7</v>
      </c>
      <c r="C13">
        <v>3.51</v>
      </c>
      <c r="D13">
        <f>43560*C13</f>
        <v>152895.59999999998</v>
      </c>
      <c r="E13">
        <v>0.5</v>
      </c>
      <c r="F13">
        <f>(E13*0.9)+0.05</f>
        <v>0.5</v>
      </c>
      <c r="G13">
        <f>44.3*0.9*F13</f>
        <v>19.934999999999999</v>
      </c>
      <c r="H13" s="15">
        <f>D13*G13/12</f>
        <v>253997.81549999994</v>
      </c>
      <c r="I13" s="15">
        <f>H13*7.4805</f>
        <v>1900030.6588477495</v>
      </c>
      <c r="J13">
        <f t="shared" ref="J13" si="0">I13*3.785</f>
        <v>7191616.0437387321</v>
      </c>
      <c r="K13" s="10">
        <v>150186.74999976158</v>
      </c>
      <c r="L13" s="8">
        <f>K13*J13</f>
        <v>1080085440855.2634</v>
      </c>
      <c r="M13">
        <f>L13*(10^-9)</f>
        <v>1080.0854408552634</v>
      </c>
    </row>
    <row r="14" spans="1:13">
      <c r="B14" s="5"/>
      <c r="C14">
        <f>SUM(C12:C13)</f>
        <v>5.6899999999999995</v>
      </c>
      <c r="D14" t="s">
        <v>56</v>
      </c>
      <c r="F14">
        <f>0.5*C14</f>
        <v>2.8449999999999998</v>
      </c>
      <c r="H14" s="15"/>
      <c r="I14" t="s">
        <v>57</v>
      </c>
      <c r="K14" s="16"/>
      <c r="L14" s="8"/>
      <c r="M14">
        <f>SUM(M12:M13)</f>
        <v>1160.874109971294</v>
      </c>
    </row>
    <row r="15" spans="1:13">
      <c r="B15" s="5"/>
      <c r="H15" s="15"/>
      <c r="K15" s="16"/>
      <c r="L15" s="8"/>
    </row>
    <row r="16" spans="1:13">
      <c r="A16" s="1" t="s">
        <v>50</v>
      </c>
      <c r="B16" s="5"/>
      <c r="H16" s="15"/>
      <c r="I16" s="15"/>
      <c r="K16" s="16"/>
      <c r="L16" s="8"/>
    </row>
    <row r="17" spans="1:13">
      <c r="A17" s="1">
        <v>40883</v>
      </c>
      <c r="B17" s="5" t="s">
        <v>5</v>
      </c>
      <c r="C17">
        <v>2.1800000000000002</v>
      </c>
      <c r="D17">
        <f>43560*C17</f>
        <v>94960.8</v>
      </c>
      <c r="E17">
        <f>4.6/24.94</f>
        <v>0.18444266238973533</v>
      </c>
      <c r="F17">
        <f>(E17*0.9)+0.05</f>
        <v>0.21599839615076183</v>
      </c>
      <c r="G17">
        <f>44.3*0.9*F17</f>
        <v>8.6118560545308735</v>
      </c>
      <c r="H17" s="15">
        <f>D17*G17/12</f>
        <v>68149.061701924613</v>
      </c>
      <c r="I17" s="15">
        <f>H17*7.4805</f>
        <v>509789.05606124707</v>
      </c>
      <c r="J17">
        <f>H17*3.785</f>
        <v>257944.19854178466</v>
      </c>
      <c r="K17" s="10">
        <v>135302.30999469757</v>
      </c>
      <c r="L17" s="8">
        <f>K17*J17</f>
        <v>34900445912.434364</v>
      </c>
      <c r="M17">
        <f>L17*(10^-9)</f>
        <v>34.900445912434364</v>
      </c>
    </row>
    <row r="18" spans="1:13">
      <c r="A18" s="1">
        <v>40883</v>
      </c>
      <c r="B18" s="5" t="s">
        <v>7</v>
      </c>
      <c r="C18">
        <v>3.51</v>
      </c>
      <c r="D18">
        <f>43560*C18</f>
        <v>152895.59999999998</v>
      </c>
      <c r="E18">
        <f>4.6/24.94</f>
        <v>0.18444266238973533</v>
      </c>
      <c r="F18">
        <f>(E18*0.9)+0.05</f>
        <v>0.21599839615076183</v>
      </c>
      <c r="G18">
        <f>44.3*0.9*F18</f>
        <v>8.6118560545308735</v>
      </c>
      <c r="H18" s="15">
        <f>D18*G18/12</f>
        <v>109726.2415475942</v>
      </c>
      <c r="I18" s="15">
        <f>H18*7.4805</f>
        <v>820807.1498967784</v>
      </c>
      <c r="J18">
        <f t="shared" ref="J18" si="1">I18*3.785</f>
        <v>3106755.0623593065</v>
      </c>
      <c r="K18" s="10">
        <v>150186.74999976158</v>
      </c>
      <c r="L18" s="8">
        <f>K18*J18</f>
        <v>466593445861.05084</v>
      </c>
      <c r="M18">
        <f>L18*(10^-9)</f>
        <v>466.5934458610509</v>
      </c>
    </row>
    <row r="19" spans="1:13">
      <c r="M19">
        <f>SUM(M17:M18)</f>
        <v>501.49389177348525</v>
      </c>
    </row>
    <row r="20" spans="1:13" ht="15.75">
      <c r="F20" s="13"/>
      <c r="G20" s="13"/>
      <c r="H20" s="13"/>
    </row>
    <row r="21" spans="1:13" ht="15.75">
      <c r="A21" t="s">
        <v>31</v>
      </c>
      <c r="B21" s="5"/>
      <c r="E21" s="13" t="s">
        <v>36</v>
      </c>
    </row>
    <row r="22" spans="1:13">
      <c r="A22" s="1" t="s">
        <v>33</v>
      </c>
      <c r="B22" s="5"/>
    </row>
    <row r="23" spans="1:13">
      <c r="A23" t="s">
        <v>34</v>
      </c>
    </row>
    <row r="24" spans="1:13">
      <c r="A24" t="s">
        <v>35</v>
      </c>
    </row>
    <row r="25" spans="1:13">
      <c r="A25" t="s">
        <v>32</v>
      </c>
    </row>
    <row r="26" spans="1:13">
      <c r="A26" t="s">
        <v>58</v>
      </c>
    </row>
    <row r="27" spans="1:13">
      <c r="A27" t="s">
        <v>38</v>
      </c>
      <c r="C27" t="s">
        <v>41</v>
      </c>
    </row>
    <row r="28" spans="1:13">
      <c r="A28" t="s">
        <v>39</v>
      </c>
    </row>
    <row r="30" spans="1:13">
      <c r="A30" t="s">
        <v>59</v>
      </c>
    </row>
  </sheetData>
  <pageMargins left="0.25" right="0.2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opLeftCell="A13" workbookViewId="0">
      <selection activeCell="E24" sqref="E24"/>
    </sheetView>
  </sheetViews>
  <sheetFormatPr defaultRowHeight="15"/>
  <cols>
    <col min="1" max="1" width="11.140625" customWidth="1"/>
    <col min="8" max="8" width="11.28515625" customWidth="1"/>
    <col min="9" max="9" width="12.140625" customWidth="1"/>
    <col min="10" max="10" width="14.28515625" bestFit="1" customWidth="1"/>
    <col min="11" max="11" width="11.85546875" customWidth="1"/>
    <col min="12" max="12" width="12.42578125" customWidth="1"/>
  </cols>
  <sheetData>
    <row r="1" spans="1:13" ht="21">
      <c r="A1" s="17" t="s">
        <v>60</v>
      </c>
    </row>
    <row r="2" spans="1:13" ht="18.75">
      <c r="A2" s="9" t="s">
        <v>55</v>
      </c>
      <c r="B2" s="4"/>
    </row>
    <row r="3" spans="1:13">
      <c r="A3" t="s">
        <v>30</v>
      </c>
      <c r="B3" s="4"/>
      <c r="C3">
        <v>1907.9</v>
      </c>
      <c r="D3" t="s">
        <v>47</v>
      </c>
    </row>
    <row r="5" spans="1:13" ht="30">
      <c r="B5" s="4" t="s">
        <v>4</v>
      </c>
      <c r="C5" t="s">
        <v>43</v>
      </c>
      <c r="D5" t="s">
        <v>44</v>
      </c>
      <c r="E5" t="s">
        <v>37</v>
      </c>
      <c r="F5" t="s">
        <v>40</v>
      </c>
      <c r="G5" t="s">
        <v>42</v>
      </c>
      <c r="H5" t="s">
        <v>48</v>
      </c>
      <c r="I5" s="2" t="s">
        <v>49</v>
      </c>
      <c r="J5" s="2" t="s">
        <v>52</v>
      </c>
      <c r="K5" t="s">
        <v>13</v>
      </c>
      <c r="L5" s="7" t="s">
        <v>45</v>
      </c>
      <c r="M5" s="7" t="s">
        <v>46</v>
      </c>
    </row>
    <row r="6" spans="1:13">
      <c r="A6" s="11"/>
      <c r="B6" s="4"/>
      <c r="I6" s="2"/>
      <c r="J6" s="2"/>
    </row>
    <row r="7" spans="1:13">
      <c r="A7" t="s">
        <v>53</v>
      </c>
      <c r="B7" s="4"/>
      <c r="I7" s="2"/>
      <c r="J7" s="2"/>
    </row>
    <row r="8" spans="1:13">
      <c r="A8" s="1">
        <v>41622</v>
      </c>
      <c r="B8" s="5" t="s">
        <v>62</v>
      </c>
      <c r="C8">
        <v>18.600000000000001</v>
      </c>
      <c r="D8">
        <f>43560*C8</f>
        <v>810216.00000000012</v>
      </c>
      <c r="E8">
        <v>0.39</v>
      </c>
      <c r="F8">
        <f>(E8*0.9)+0.05</f>
        <v>0.40100000000000002</v>
      </c>
      <c r="G8">
        <f>44.3*0.9*F8</f>
        <v>15.987869999999999</v>
      </c>
      <c r="H8" s="15">
        <f>D8*G8/12</f>
        <v>1079469.0066600002</v>
      </c>
      <c r="I8" s="15">
        <f>H8*7.4805</f>
        <v>8074967.904320132</v>
      </c>
      <c r="J8" s="23">
        <f>I8*3.785</f>
        <v>30563753.517851699</v>
      </c>
      <c r="K8" s="10">
        <v>2801</v>
      </c>
      <c r="L8" s="8">
        <f>K8*J8</f>
        <v>85609073603.502609</v>
      </c>
      <c r="M8">
        <f>L8*(10^-9)</f>
        <v>85.609073603502608</v>
      </c>
    </row>
    <row r="9" spans="1:13">
      <c r="A9" s="1"/>
      <c r="B9" s="5"/>
      <c r="H9" s="15"/>
      <c r="I9" s="15"/>
      <c r="K9" s="10"/>
      <c r="L9" s="8"/>
    </row>
    <row r="10" spans="1:13">
      <c r="A10" s="1"/>
      <c r="B10" s="5"/>
      <c r="C10">
        <f>SUM(C8:C9)</f>
        <v>18.600000000000001</v>
      </c>
      <c r="D10" t="s">
        <v>61</v>
      </c>
      <c r="F10">
        <f>0.9*C10</f>
        <v>16.740000000000002</v>
      </c>
      <c r="H10" s="15"/>
      <c r="I10" t="s">
        <v>63</v>
      </c>
      <c r="K10" s="16"/>
      <c r="L10" s="8"/>
      <c r="M10">
        <f>SUM(M8:M9)</f>
        <v>85.609073603502608</v>
      </c>
    </row>
    <row r="12" spans="1:13">
      <c r="A12" s="1"/>
      <c r="B12" s="5"/>
      <c r="C12">
        <v>18.600000000000001</v>
      </c>
      <c r="D12">
        <f>43560*C12</f>
        <v>810216.00000000012</v>
      </c>
      <c r="E12">
        <v>0.9</v>
      </c>
      <c r="F12">
        <f>(E12*0.9)+0.05</f>
        <v>0.8600000000000001</v>
      </c>
      <c r="G12">
        <f>44.3*0.9*F12</f>
        <v>34.288200000000003</v>
      </c>
      <c r="H12" s="15">
        <f>D12*G12/12</f>
        <v>2315070.6876000003</v>
      </c>
      <c r="I12" s="15">
        <f>H12*7.4805</f>
        <v>17317886.278591804</v>
      </c>
      <c r="J12" s="23">
        <f>I12*3.785</f>
        <v>65548199.564469978</v>
      </c>
      <c r="K12" s="10">
        <v>2801</v>
      </c>
      <c r="L12" s="8">
        <f>K12*J12</f>
        <v>183600506980.08041</v>
      </c>
      <c r="M12">
        <f>L12*(10^-9)</f>
        <v>183.60050698008044</v>
      </c>
    </row>
    <row r="24" spans="1:5" ht="15.75">
      <c r="A24" t="s">
        <v>31</v>
      </c>
      <c r="B24" s="5"/>
      <c r="E24" s="13" t="s">
        <v>36</v>
      </c>
    </row>
    <row r="25" spans="1:5">
      <c r="A25" s="1" t="s">
        <v>33</v>
      </c>
      <c r="B25" s="5"/>
    </row>
    <row r="26" spans="1:5">
      <c r="A26" t="s">
        <v>34</v>
      </c>
    </row>
    <row r="27" spans="1:5">
      <c r="A27" t="s">
        <v>35</v>
      </c>
    </row>
    <row r="28" spans="1:5">
      <c r="A28" t="s">
        <v>32</v>
      </c>
    </row>
    <row r="29" spans="1:5">
      <c r="A29" t="s">
        <v>58</v>
      </c>
    </row>
    <row r="30" spans="1:5">
      <c r="A30" t="s">
        <v>38</v>
      </c>
      <c r="C30" t="s">
        <v>41</v>
      </c>
    </row>
    <row r="31" spans="1:5">
      <c r="A31" t="s">
        <v>39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I14" sqref="I14"/>
    </sheetView>
  </sheetViews>
  <sheetFormatPr defaultRowHeight="15"/>
  <cols>
    <col min="1" max="1" width="10.7109375" bestFit="1" customWidth="1"/>
    <col min="3" max="4" width="8" customWidth="1"/>
    <col min="5" max="5" width="6" customWidth="1"/>
    <col min="10" max="10" width="11.5703125" bestFit="1" customWidth="1"/>
    <col min="12" max="12" width="10.5703125" bestFit="1" customWidth="1"/>
  </cols>
  <sheetData>
    <row r="1" spans="1:13" ht="18.75">
      <c r="A1" s="9" t="s">
        <v>64</v>
      </c>
      <c r="E1" s="12" t="s">
        <v>66</v>
      </c>
      <c r="F1" s="14"/>
      <c r="G1" s="14"/>
      <c r="H1" s="14"/>
    </row>
    <row r="2" spans="1:13" ht="18.75">
      <c r="A2" s="9" t="s">
        <v>55</v>
      </c>
      <c r="B2" s="4"/>
    </row>
    <row r="3" spans="1:13">
      <c r="A3" t="s">
        <v>67</v>
      </c>
      <c r="B3" s="4"/>
    </row>
    <row r="4" spans="1:13" ht="30">
      <c r="B4" s="4" t="s">
        <v>4</v>
      </c>
      <c r="C4" t="s">
        <v>43</v>
      </c>
      <c r="D4" t="s">
        <v>44</v>
      </c>
      <c r="E4" t="s">
        <v>37</v>
      </c>
      <c r="F4" t="s">
        <v>40</v>
      </c>
      <c r="G4" t="s">
        <v>42</v>
      </c>
      <c r="H4" t="s">
        <v>48</v>
      </c>
      <c r="I4" s="2" t="s">
        <v>49</v>
      </c>
      <c r="J4" s="2" t="s">
        <v>52</v>
      </c>
      <c r="K4" t="s">
        <v>13</v>
      </c>
      <c r="L4" s="7" t="s">
        <v>45</v>
      </c>
      <c r="M4" s="7" t="s">
        <v>46</v>
      </c>
    </row>
    <row r="5" spans="1:13">
      <c r="A5" s="11"/>
      <c r="B5" s="4"/>
      <c r="I5" s="2"/>
      <c r="J5" s="2"/>
    </row>
    <row r="6" spans="1:13">
      <c r="B6" s="4"/>
      <c r="I6" s="2"/>
      <c r="J6" s="2"/>
    </row>
    <row r="7" spans="1:13">
      <c r="A7" s="1">
        <v>41170</v>
      </c>
      <c r="B7" s="5" t="s">
        <v>5</v>
      </c>
      <c r="C7">
        <v>1.4</v>
      </c>
      <c r="D7">
        <f>43560*C7</f>
        <v>60983.999999999993</v>
      </c>
      <c r="E7">
        <v>0.1</v>
      </c>
      <c r="F7">
        <f>(E7*0.9)+0.05</f>
        <v>0.14000000000000001</v>
      </c>
      <c r="G7">
        <f>44.3*0.9*F7</f>
        <v>5.5818000000000003</v>
      </c>
      <c r="H7" s="15">
        <f>D7*G7/12</f>
        <v>28366.707599999998</v>
      </c>
      <c r="I7" s="15">
        <f>H7*7.4805</f>
        <v>212197.15620179998</v>
      </c>
      <c r="J7" s="23">
        <f>I7*3.785</f>
        <v>803166.23622381291</v>
      </c>
      <c r="K7" s="10">
        <v>64.86</v>
      </c>
      <c r="L7" s="8">
        <f>K7*J7</f>
        <v>52093362.081476502</v>
      </c>
      <c r="M7">
        <f>L7*(10^-9)</f>
        <v>5.2093362081476503E-2</v>
      </c>
    </row>
    <row r="8" spans="1:13">
      <c r="A8" s="1">
        <v>40876</v>
      </c>
      <c r="B8" s="5" t="s">
        <v>5</v>
      </c>
      <c r="C8">
        <v>1.4</v>
      </c>
      <c r="D8">
        <f>43560*C8</f>
        <v>60983.999999999993</v>
      </c>
      <c r="E8">
        <v>0.1</v>
      </c>
      <c r="F8">
        <f>(E8*0.9)+0.05</f>
        <v>0.14000000000000001</v>
      </c>
      <c r="G8">
        <f>44.3*0.9*F8</f>
        <v>5.5818000000000003</v>
      </c>
      <c r="H8" s="15">
        <f>D8*G8/12</f>
        <v>28366.707599999998</v>
      </c>
      <c r="I8" s="15">
        <f>H8*7.4805</f>
        <v>212197.15620179998</v>
      </c>
      <c r="J8" s="23">
        <f>I8*3.785</f>
        <v>803166.23622381291</v>
      </c>
      <c r="K8" s="10">
        <v>252.27499902248383</v>
      </c>
      <c r="L8" s="8">
        <f>K8*J8</f>
        <v>202618761.45825443</v>
      </c>
      <c r="M8">
        <f>L8*(10^-9)</f>
        <v>0.20261876145825444</v>
      </c>
    </row>
    <row r="9" spans="1:13">
      <c r="A9" s="1"/>
      <c r="B9" s="5"/>
      <c r="H9" s="15"/>
      <c r="K9" s="16"/>
      <c r="L9" s="8"/>
    </row>
    <row r="10" spans="1:13">
      <c r="A10" s="1"/>
      <c r="B10" s="5"/>
      <c r="H10" s="15"/>
    </row>
    <row r="11" spans="1:13">
      <c r="L11" s="18" t="s">
        <v>65</v>
      </c>
      <c r="M11">
        <f>AVERAGE(M7:M8)</f>
        <v>0.12735606176986547</v>
      </c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L9" sqref="L9"/>
    </sheetView>
  </sheetViews>
  <sheetFormatPr defaultRowHeight="15"/>
  <cols>
    <col min="1" max="1" width="10.7109375" bestFit="1" customWidth="1"/>
    <col min="10" max="10" width="11.5703125" bestFit="1" customWidth="1"/>
    <col min="12" max="12" width="10.5703125" bestFit="1" customWidth="1"/>
  </cols>
  <sheetData>
    <row r="1" spans="1:13" ht="21">
      <c r="A1" s="17" t="s">
        <v>72</v>
      </c>
    </row>
    <row r="2" spans="1:13" ht="15.75">
      <c r="A2" s="13" t="s">
        <v>70</v>
      </c>
      <c r="E2" t="s">
        <v>71</v>
      </c>
      <c r="F2" s="13"/>
      <c r="G2" s="21" t="s">
        <v>69</v>
      </c>
      <c r="K2" s="20"/>
    </row>
    <row r="3" spans="1:13" ht="18.75">
      <c r="A3" s="9" t="s">
        <v>55</v>
      </c>
      <c r="B3" s="4"/>
    </row>
    <row r="4" spans="1:13">
      <c r="A4" t="s">
        <v>30</v>
      </c>
      <c r="B4" s="4"/>
      <c r="C4">
        <v>1907.9</v>
      </c>
      <c r="D4" t="s">
        <v>47</v>
      </c>
      <c r="F4" s="19" t="s">
        <v>68</v>
      </c>
      <c r="G4" s="19"/>
      <c r="H4" s="19" t="s">
        <v>68</v>
      </c>
      <c r="I4" s="19"/>
      <c r="K4" s="19" t="s">
        <v>68</v>
      </c>
      <c r="L4" s="19"/>
      <c r="M4" s="19"/>
    </row>
    <row r="6" spans="1:13" ht="30">
      <c r="B6" s="4" t="s">
        <v>4</v>
      </c>
      <c r="C6" t="s">
        <v>43</v>
      </c>
      <c r="D6" t="s">
        <v>44</v>
      </c>
      <c r="E6" t="s">
        <v>37</v>
      </c>
      <c r="F6" t="s">
        <v>40</v>
      </c>
      <c r="G6" s="4" t="s">
        <v>42</v>
      </c>
      <c r="H6" s="4" t="s">
        <v>48</v>
      </c>
      <c r="I6" s="2" t="s">
        <v>49</v>
      </c>
      <c r="J6" s="2" t="s">
        <v>52</v>
      </c>
      <c r="K6" t="s">
        <v>13</v>
      </c>
      <c r="L6" s="7" t="s">
        <v>45</v>
      </c>
      <c r="M6" s="7" t="s">
        <v>46</v>
      </c>
    </row>
    <row r="7" spans="1:13">
      <c r="A7" s="11"/>
      <c r="B7" s="4"/>
      <c r="G7" s="4"/>
      <c r="H7" s="4"/>
      <c r="I7" s="2"/>
      <c r="J7" s="2"/>
    </row>
    <row r="8" spans="1:13">
      <c r="A8" t="s">
        <v>53</v>
      </c>
      <c r="B8" s="4"/>
      <c r="G8" s="4"/>
      <c r="H8" s="4"/>
      <c r="I8" s="2"/>
      <c r="J8" s="2"/>
    </row>
    <row r="9" spans="1:13">
      <c r="A9" s="1">
        <v>40524</v>
      </c>
      <c r="B9" s="5" t="s">
        <v>5</v>
      </c>
      <c r="C9">
        <v>0.25</v>
      </c>
      <c r="D9">
        <f>43560*C9</f>
        <v>10890</v>
      </c>
      <c r="E9">
        <v>1</v>
      </c>
      <c r="F9">
        <f>(E9*0.9)+0.05</f>
        <v>0.95000000000000007</v>
      </c>
      <c r="G9" s="4">
        <f>44.3*0.9*F9</f>
        <v>37.8765</v>
      </c>
      <c r="H9" s="22">
        <f>D9*G9/12</f>
        <v>34372.923750000002</v>
      </c>
      <c r="I9" s="15">
        <f>H9*7.4805</f>
        <v>257126.65611187503</v>
      </c>
      <c r="J9" s="23">
        <f>I9*3.785</f>
        <v>973224.39338344696</v>
      </c>
      <c r="K9" s="24">
        <v>1082</v>
      </c>
      <c r="L9" s="8">
        <f>K9*J9</f>
        <v>1053028793.6408896</v>
      </c>
      <c r="M9" s="25">
        <f>L9*(10^-9)</f>
        <v>1.0530287936408897</v>
      </c>
    </row>
    <row r="10" spans="1:13">
      <c r="A10" s="1">
        <v>40919</v>
      </c>
      <c r="B10" s="5" t="s">
        <v>5</v>
      </c>
      <c r="C10">
        <v>0.25</v>
      </c>
      <c r="D10">
        <f>43560*C10</f>
        <v>10890</v>
      </c>
      <c r="E10">
        <v>1</v>
      </c>
      <c r="F10">
        <f>(E10*0.9)+0.05</f>
        <v>0.95000000000000007</v>
      </c>
      <c r="G10" s="4">
        <f>44.3*0.9*F10</f>
        <v>37.8765</v>
      </c>
      <c r="H10" s="22">
        <f>D10*G10/12</f>
        <v>34372.923750000002</v>
      </c>
      <c r="I10" s="15">
        <f>H10*7.4805</f>
        <v>257126.65611187503</v>
      </c>
      <c r="J10" s="23">
        <f>I10*3.785</f>
        <v>973224.39338344696</v>
      </c>
      <c r="K10">
        <v>3290</v>
      </c>
      <c r="L10" s="8">
        <f>K10*J10</f>
        <v>3201908254.2315407</v>
      </c>
      <c r="M10" s="25">
        <f>L10*(10^-9)</f>
        <v>3.2019082542315407</v>
      </c>
    </row>
    <row r="11" spans="1:13">
      <c r="B11" s="4"/>
      <c r="M11" s="25"/>
    </row>
    <row r="12" spans="1:13">
      <c r="L12" t="s">
        <v>73</v>
      </c>
      <c r="M12" s="25">
        <f>AVERAGE(M9:M10)</f>
        <v>2.1274685239362152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3" sqref="A3:O25"/>
    </sheetView>
  </sheetViews>
  <sheetFormatPr defaultRowHeight="15"/>
  <cols>
    <col min="1" max="1" width="9.7109375" bestFit="1" customWidth="1"/>
    <col min="12" max="12" width="11.42578125" customWidth="1"/>
  </cols>
  <sheetData>
    <row r="1" spans="1:13" ht="21">
      <c r="A1" s="17" t="s">
        <v>74</v>
      </c>
    </row>
    <row r="2" spans="1:13" ht="15.75">
      <c r="A2" s="13" t="s">
        <v>75</v>
      </c>
      <c r="F2" s="13"/>
      <c r="G2" s="21"/>
      <c r="K2" s="20"/>
    </row>
    <row r="3" spans="1:13" ht="18.75">
      <c r="A3" s="9" t="s">
        <v>55</v>
      </c>
      <c r="B3" s="4"/>
    </row>
    <row r="4" spans="1:13">
      <c r="B4" s="4"/>
      <c r="F4" s="26"/>
      <c r="G4" s="26"/>
      <c r="H4" s="26"/>
      <c r="I4" s="26"/>
      <c r="J4" s="26"/>
      <c r="K4" s="26"/>
      <c r="L4" s="26"/>
      <c r="M4" s="26"/>
    </row>
    <row r="6" spans="1:13" ht="30">
      <c r="B6" s="4" t="s">
        <v>4</v>
      </c>
      <c r="C6" t="s">
        <v>43</v>
      </c>
      <c r="D6" t="s">
        <v>44</v>
      </c>
      <c r="E6" t="s">
        <v>37</v>
      </c>
      <c r="F6" t="s">
        <v>40</v>
      </c>
      <c r="G6" s="4" t="s">
        <v>42</v>
      </c>
      <c r="H6" s="4" t="s">
        <v>48</v>
      </c>
      <c r="I6" s="2" t="s">
        <v>49</v>
      </c>
      <c r="J6" s="2" t="s">
        <v>52</v>
      </c>
      <c r="K6" t="s">
        <v>13</v>
      </c>
      <c r="L6" s="7" t="s">
        <v>45</v>
      </c>
      <c r="M6" s="7" t="s">
        <v>46</v>
      </c>
    </row>
    <row r="7" spans="1:13">
      <c r="A7" s="11"/>
      <c r="B7" s="4"/>
      <c r="G7" s="4"/>
      <c r="H7" s="4"/>
      <c r="I7" s="2"/>
      <c r="J7" s="2"/>
    </row>
    <row r="8" spans="1:13">
      <c r="A8" t="s">
        <v>53</v>
      </c>
      <c r="B8" s="4"/>
      <c r="G8" s="4"/>
      <c r="H8" s="4"/>
      <c r="I8" s="2"/>
      <c r="J8" s="2"/>
    </row>
    <row r="9" spans="1:13">
      <c r="A9" s="1">
        <v>40612</v>
      </c>
      <c r="B9" s="5" t="s">
        <v>5</v>
      </c>
      <c r="C9">
        <v>0.5</v>
      </c>
      <c r="D9">
        <f>43560*C9</f>
        <v>21780</v>
      </c>
      <c r="E9">
        <v>0.4</v>
      </c>
      <c r="F9">
        <f>(E9*0.9)+0.05</f>
        <v>0.41000000000000003</v>
      </c>
      <c r="G9" s="4">
        <f>44.3*0.9*F9</f>
        <v>16.346699999999998</v>
      </c>
      <c r="H9" s="22">
        <f>D9*G9/12</f>
        <v>29669.2605</v>
      </c>
      <c r="I9" s="15">
        <f>H9*7.4805</f>
        <v>221940.90317025001</v>
      </c>
      <c r="J9" s="23">
        <f>I9*3.785</f>
        <v>840046.31849939632</v>
      </c>
      <c r="K9" s="24">
        <v>442231</v>
      </c>
      <c r="L9" s="8">
        <f>K9*J9</f>
        <v>371494523476.30652</v>
      </c>
      <c r="M9" s="25">
        <f>L9*(10^-9)</f>
        <v>371.49452347630654</v>
      </c>
    </row>
    <row r="10" spans="1:13">
      <c r="A10" s="1">
        <v>40612</v>
      </c>
      <c r="B10" s="5" t="s">
        <v>7</v>
      </c>
      <c r="C10">
        <v>0.18</v>
      </c>
      <c r="D10">
        <f>43560*C10</f>
        <v>7840.7999999999993</v>
      </c>
      <c r="E10">
        <v>0.9</v>
      </c>
      <c r="F10">
        <f>(E10*0.9)+0.05</f>
        <v>0.8600000000000001</v>
      </c>
      <c r="G10" s="4">
        <f>44.3*0.9*F10</f>
        <v>34.288200000000003</v>
      </c>
      <c r="H10" s="22">
        <f>D10*G10/12</f>
        <v>22403.909880000003</v>
      </c>
      <c r="I10" s="15">
        <f>H10*7.4805</f>
        <v>167592.44785734001</v>
      </c>
      <c r="J10" s="23">
        <f>I10*3.785</f>
        <v>634337.41514003195</v>
      </c>
      <c r="K10">
        <v>243303</v>
      </c>
      <c r="L10" s="8">
        <f>K10*J10</f>
        <v>154336196115.81519</v>
      </c>
      <c r="M10" s="25">
        <f>L10*(10^-9)</f>
        <v>154.3361961158152</v>
      </c>
    </row>
    <row r="11" spans="1:13">
      <c r="B11" s="4"/>
      <c r="M11" s="25"/>
    </row>
    <row r="13" spans="1:13">
      <c r="A13" s="1">
        <v>40612</v>
      </c>
      <c r="B13" s="5" t="s">
        <v>5</v>
      </c>
      <c r="C13">
        <v>0.7</v>
      </c>
      <c r="D13">
        <f>43560*C13</f>
        <v>30491.999999999996</v>
      </c>
      <c r="E13">
        <v>0.4</v>
      </c>
      <c r="F13">
        <f>(E13*0.9)+0.05</f>
        <v>0.41000000000000003</v>
      </c>
      <c r="G13" s="4">
        <f>44.3*0.9*F13</f>
        <v>16.346699999999998</v>
      </c>
      <c r="H13" s="22">
        <f>D13*G13/12</f>
        <v>41536.96469999999</v>
      </c>
      <c r="I13" s="15">
        <f>H13*7.4805</f>
        <v>310717.26443834993</v>
      </c>
      <c r="J13" s="23">
        <f>I13*3.785</f>
        <v>1176064.8458991544</v>
      </c>
      <c r="K13" s="24">
        <v>442231</v>
      </c>
      <c r="L13" s="8">
        <f>K13*J13</f>
        <v>520092332866.82898</v>
      </c>
      <c r="M13" s="25">
        <f>L13*(10^-9)</f>
        <v>520.092332866829</v>
      </c>
    </row>
    <row r="14" spans="1:13">
      <c r="A14" s="1">
        <v>40612</v>
      </c>
      <c r="B14" s="5" t="s">
        <v>7</v>
      </c>
      <c r="C14">
        <v>0.18</v>
      </c>
      <c r="D14">
        <f>43560*C14</f>
        <v>7840.7999999999993</v>
      </c>
      <c r="E14">
        <v>1</v>
      </c>
      <c r="F14">
        <f>(E14*0.9)+0.05</f>
        <v>0.95000000000000007</v>
      </c>
      <c r="G14" s="4">
        <f>44.3*0.9*F14</f>
        <v>37.8765</v>
      </c>
      <c r="H14" s="22">
        <f>D14*G14/12</f>
        <v>24748.505099999998</v>
      </c>
      <c r="I14" s="15">
        <f>H14*7.4805</f>
        <v>185131.19240055</v>
      </c>
      <c r="J14" s="23">
        <f>I14*3.785</f>
        <v>700721.56323608174</v>
      </c>
      <c r="K14">
        <v>243303</v>
      </c>
      <c r="L14" s="8">
        <f>K14*J14</f>
        <v>170487658500.02838</v>
      </c>
      <c r="M14" s="25">
        <f>L14*(10^-9)</f>
        <v>170.4876585000284</v>
      </c>
    </row>
    <row r="16" spans="1:13">
      <c r="K16" s="27" t="s">
        <v>5</v>
      </c>
      <c r="L16" t="s">
        <v>73</v>
      </c>
      <c r="M16" s="25">
        <f>(M9+M13)/2</f>
        <v>445.79342817156777</v>
      </c>
    </row>
    <row r="17" spans="1:6" ht="15.75">
      <c r="A17" t="s">
        <v>31</v>
      </c>
      <c r="B17" s="5"/>
      <c r="F17" s="13" t="s">
        <v>36</v>
      </c>
    </row>
    <row r="18" spans="1:6">
      <c r="A18" s="1" t="s">
        <v>33</v>
      </c>
      <c r="B18" s="5"/>
    </row>
    <row r="19" spans="1:6">
      <c r="A19" t="s">
        <v>34</v>
      </c>
    </row>
    <row r="20" spans="1:6">
      <c r="A20" t="s">
        <v>35</v>
      </c>
    </row>
    <row r="21" spans="1:6">
      <c r="A21" t="s">
        <v>32</v>
      </c>
    </row>
    <row r="22" spans="1:6">
      <c r="A22" t="s">
        <v>58</v>
      </c>
    </row>
    <row r="23" spans="1:6">
      <c r="A23" t="s">
        <v>38</v>
      </c>
    </row>
    <row r="24" spans="1:6">
      <c r="A24" t="s">
        <v>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B4" sqref="B4"/>
    </sheetView>
  </sheetViews>
  <sheetFormatPr defaultRowHeight="15"/>
  <cols>
    <col min="8" max="8" width="10.5703125" bestFit="1" customWidth="1"/>
    <col min="9" max="10" width="11.5703125" bestFit="1" customWidth="1"/>
    <col min="12" max="12" width="11.42578125" customWidth="1"/>
  </cols>
  <sheetData>
    <row r="1" spans="1:13" ht="18.75">
      <c r="A1" s="9" t="s">
        <v>76</v>
      </c>
    </row>
    <row r="3" spans="1:13" ht="18.75">
      <c r="A3" s="9" t="s">
        <v>55</v>
      </c>
      <c r="B3" s="4"/>
    </row>
    <row r="4" spans="1:13">
      <c r="B4" s="4"/>
      <c r="F4" s="26"/>
      <c r="G4" s="26"/>
      <c r="H4" s="26"/>
      <c r="I4" s="26"/>
      <c r="J4" s="26"/>
      <c r="K4" s="26"/>
      <c r="L4" s="26"/>
      <c r="M4" s="26"/>
    </row>
    <row r="5" spans="1:13" ht="15.75">
      <c r="E5" s="28"/>
    </row>
    <row r="6" spans="1:13" ht="30">
      <c r="B6" s="4" t="s">
        <v>4</v>
      </c>
      <c r="C6" t="s">
        <v>43</v>
      </c>
      <c r="D6" s="4" t="s">
        <v>44</v>
      </c>
      <c r="E6" s="29" t="s">
        <v>37</v>
      </c>
      <c r="F6" s="29" t="s">
        <v>40</v>
      </c>
      <c r="G6" s="4" t="s">
        <v>42</v>
      </c>
      <c r="H6" s="4" t="s">
        <v>48</v>
      </c>
      <c r="I6" s="2" t="s">
        <v>49</v>
      </c>
      <c r="J6" s="2" t="s">
        <v>52</v>
      </c>
      <c r="K6" t="s">
        <v>13</v>
      </c>
      <c r="L6" s="7" t="s">
        <v>45</v>
      </c>
      <c r="M6" s="7" t="s">
        <v>46</v>
      </c>
    </row>
    <row r="7" spans="1:13">
      <c r="A7" s="11"/>
      <c r="B7" s="4"/>
      <c r="G7" s="4"/>
      <c r="H7" s="4"/>
      <c r="I7" s="2"/>
      <c r="J7" s="2"/>
    </row>
    <row r="8" spans="1:13">
      <c r="B8" s="4"/>
      <c r="G8" s="4"/>
      <c r="H8" s="4"/>
      <c r="I8" s="2"/>
      <c r="J8" s="2"/>
    </row>
    <row r="9" spans="1:13">
      <c r="A9" s="1"/>
      <c r="B9" s="5" t="s">
        <v>5</v>
      </c>
      <c r="C9">
        <v>8</v>
      </c>
      <c r="D9">
        <f>43560*C9</f>
        <v>348480</v>
      </c>
      <c r="E9">
        <v>0.25</v>
      </c>
      <c r="F9">
        <f>(E9*0.9)+0.05</f>
        <v>0.27500000000000002</v>
      </c>
      <c r="G9" s="4">
        <f>44.3*0.9*F9</f>
        <v>10.96425</v>
      </c>
      <c r="H9" s="22">
        <f>D9*G9/12</f>
        <v>318401.82</v>
      </c>
      <c r="I9" s="15">
        <f>H9*7.4805</f>
        <v>2381804.8145099999</v>
      </c>
      <c r="J9" s="23">
        <f>I9*3.785</f>
        <v>9015131.2229203507</v>
      </c>
      <c r="K9" s="30">
        <v>19700</v>
      </c>
      <c r="L9" s="8">
        <f>K9*J9</f>
        <v>177598085091.53091</v>
      </c>
      <c r="M9" s="25">
        <f>L9*(10^-9)</f>
        <v>177.59808509153092</v>
      </c>
    </row>
    <row r="10" spans="1:13">
      <c r="A10" s="1"/>
      <c r="B10" s="5" t="s">
        <v>7</v>
      </c>
      <c r="C10">
        <v>8.11</v>
      </c>
      <c r="D10">
        <f>43560*C10</f>
        <v>353271.6</v>
      </c>
      <c r="E10">
        <v>0.25</v>
      </c>
      <c r="F10">
        <f>(E10*0.9)+0.05</f>
        <v>0.27500000000000002</v>
      </c>
      <c r="G10" s="4">
        <f>44.3*0.9*F10</f>
        <v>10.96425</v>
      </c>
      <c r="H10" s="22">
        <f>D10*G10/12</f>
        <v>322779.84502499999</v>
      </c>
      <c r="I10" s="15">
        <f>H10*7.4805</f>
        <v>2414554.6307095126</v>
      </c>
      <c r="J10" s="23">
        <f>I10*3.785</f>
        <v>9139089.2772355061</v>
      </c>
      <c r="K10" s="31">
        <v>12200</v>
      </c>
      <c r="L10" s="8">
        <f>K10*J10</f>
        <v>111496889182.27318</v>
      </c>
      <c r="M10" s="25">
        <f>L10*(10^-9)</f>
        <v>111.49688918227318</v>
      </c>
    </row>
    <row r="11" spans="1:13">
      <c r="B11" s="4"/>
      <c r="M11" s="25"/>
    </row>
    <row r="12" spans="1:13">
      <c r="E12" t="s">
        <v>77</v>
      </c>
    </row>
    <row r="13" spans="1:13">
      <c r="A13" s="1"/>
      <c r="B13" s="5" t="s">
        <v>5</v>
      </c>
      <c r="C13">
        <v>8</v>
      </c>
      <c r="D13">
        <f>43560*C13</f>
        <v>348480</v>
      </c>
      <c r="E13">
        <v>0.5</v>
      </c>
      <c r="F13">
        <f>(E13*0.9)+0.05</f>
        <v>0.5</v>
      </c>
      <c r="G13" s="4">
        <f>44.3*0.9*F13</f>
        <v>19.934999999999999</v>
      </c>
      <c r="H13" s="22">
        <f>D13*G13/12</f>
        <v>578912.4</v>
      </c>
      <c r="I13" s="15">
        <f>H13*7.4805</f>
        <v>4330554.2082000002</v>
      </c>
      <c r="J13" s="23">
        <f>I13*3.785</f>
        <v>16391147.678037001</v>
      </c>
      <c r="K13" s="30">
        <v>19700</v>
      </c>
      <c r="L13" s="8">
        <f>K13*J13</f>
        <v>322905609257.32892</v>
      </c>
      <c r="M13" s="25">
        <f>L13*(10^-9)</f>
        <v>322.90560925732893</v>
      </c>
    </row>
    <row r="14" spans="1:13">
      <c r="A14" s="1"/>
      <c r="B14" s="5" t="s">
        <v>7</v>
      </c>
      <c r="C14">
        <v>8.11</v>
      </c>
      <c r="D14">
        <f>43560*C14</f>
        <v>353271.6</v>
      </c>
      <c r="E14">
        <v>0.5</v>
      </c>
      <c r="F14">
        <f>(E14*0.9)+0.05</f>
        <v>0.5</v>
      </c>
      <c r="G14" s="4">
        <f>44.3*0.9*F14</f>
        <v>19.934999999999999</v>
      </c>
      <c r="H14" s="22">
        <f>D14*G14/12</f>
        <v>586872.44549999991</v>
      </c>
      <c r="I14" s="15">
        <f>H14*7.4805</f>
        <v>4390099.3285627495</v>
      </c>
      <c r="J14" s="23">
        <f>I14*3.785</f>
        <v>16616525.958610008</v>
      </c>
      <c r="K14" s="31">
        <v>12200</v>
      </c>
      <c r="L14" s="8">
        <f>K14*J14</f>
        <v>202721616695.04208</v>
      </c>
      <c r="M14" s="25">
        <f>L14*(10^-9)</f>
        <v>202.72161669504209</v>
      </c>
    </row>
    <row r="16" spans="1:13">
      <c r="K16" s="27"/>
      <c r="M16" s="25"/>
    </row>
    <row r="17" spans="1:6" ht="15.75">
      <c r="A17" t="s">
        <v>31</v>
      </c>
      <c r="B17" s="5"/>
      <c r="F17" s="13" t="s">
        <v>36</v>
      </c>
    </row>
    <row r="18" spans="1:6">
      <c r="A18" s="1" t="s">
        <v>33</v>
      </c>
      <c r="B18" s="5"/>
    </row>
    <row r="19" spans="1:6">
      <c r="A19" t="s">
        <v>34</v>
      </c>
    </row>
    <row r="20" spans="1:6">
      <c r="A20" t="s">
        <v>35</v>
      </c>
    </row>
    <row r="21" spans="1:6">
      <c r="A21" t="s">
        <v>32</v>
      </c>
    </row>
    <row r="22" spans="1:6">
      <c r="A22" t="s">
        <v>58</v>
      </c>
    </row>
    <row r="23" spans="1:6">
      <c r="A23" t="s">
        <v>38</v>
      </c>
    </row>
    <row r="24" spans="1:6">
      <c r="A24" t="s">
        <v>39</v>
      </c>
    </row>
  </sheetData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GERDAU Roa</vt:lpstr>
      <vt:lpstr>Celco</vt:lpstr>
      <vt:lpstr>Omnisource</vt:lpstr>
      <vt:lpstr>Elite Recycling</vt:lpstr>
      <vt:lpstr>G&amp;B</vt:lpstr>
      <vt:lpstr>FCC Env</vt:lpstr>
      <vt:lpstr>Gerdau - Pulaski</vt:lpstr>
      <vt:lpstr>Progress Rail</vt:lpstr>
      <vt:lpstr>'FCC Env'!Print_Area</vt:lpstr>
      <vt:lpstr>'G&amp;B'!Print_Area</vt:lpstr>
      <vt:lpstr>'GERDAU Roa'!Print_Area</vt:lpstr>
      <vt:lpstr>Omnisource!Print_Area</vt:lpstr>
      <vt:lpstr>'Progress Rail'!Print_Area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bsu12529</dc:creator>
  <cp:lastModifiedBy>bsu12529</cp:lastModifiedBy>
  <cp:lastPrinted>2015-02-17T17:16:36Z</cp:lastPrinted>
  <dcterms:created xsi:type="dcterms:W3CDTF">2013-04-03T15:23:18Z</dcterms:created>
  <dcterms:modified xsi:type="dcterms:W3CDTF">2015-02-17T17:17:38Z</dcterms:modified>
</cp:coreProperties>
</file>